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<sst xmlns="http://schemas.openxmlformats.org/spreadsheetml/2006/main" count="1600" uniqueCount="315">
  <si>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</si>
  <si>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</si>
  <si>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</si>
  <si>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</si>
  <si>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</si>
  <si>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</si>
  <si>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</si>
  <si>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</si>
  <si>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</si>
  <si>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</si>
  <si>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</si>
  <si>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</si>
  <si>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</si>
  <si>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</si>
  <si>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</si>
  <si>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</si>
  <si>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</si>
  <si>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</si>
  <si>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</si>
  <si>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</si>
  <si>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</si>
  <si>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</si>
  <si>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</si>
  <si>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</si>
  <si>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</si>
  <si>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</si>
  <si>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</si>
  <si>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</si>
  <si>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</si>
  <si>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</si>
  <si>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</si>
  <si>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</si>
  <si>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</si>
  <si>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</si>
  <si>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</si>
  <si>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</si>
  <si>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</si>
  <si>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</si>
  <si>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</si>
  <si>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</si>
  <si>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</si>
  <si>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</si>
  <si>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</si>
  <si>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</si>
  <si>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</si>
  <si>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</si>
  <si>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</si>
  <si>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</si>
  <si>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</si>
  <si>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</si>
  <si>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</si>
  <si>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</si>
  <si>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</si>
  <si>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</si>
  <si>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</si>
  <si>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</si>
  <si>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</si>
  <si>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</si>
  <si>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</si>
  <si>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</si>
  <si>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</si>
  <si>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</si>
  <si>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</si>
  <si>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</si>
  <si>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</si>
  <si>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</si>
  <si>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</si>
  <si>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</si>
  <si>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</si>
  <si>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</si>
  <si>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</si>
  <si>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</si>
  <si>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</si>
  <si>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</si>
  <si>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</si>
  <si>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</si>
  <si>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</si>
  <si>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</si>
  <si>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</si>
  <si>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</si>
  <si>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</si>
  <si>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</si>
  <si>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</si>
  <si>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</si>
  <si>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</si>
  <si>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</si>
  <si>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</si>
  <si>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</si>
  <si>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</si>
  <si>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</si>
  <si>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</si>
  <si>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</si>
  <si>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</si>
  <si>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</si>
  <si>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</si>
  <si>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</si>
  <si>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</si>
  <si>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</si>
  <si>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</si>
  <si>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</si>
  <si>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</si>
  <si>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</si>
  <si>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</si>
  <si>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</si>
  <si>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</si>
  <si>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</si>
  <si>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</si>
  <si>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</si>
  <si>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</si>
  <si>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</si>
  <si>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</si>
  <si>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</si>
  <si>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</si>
  <si>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</si>
  <si>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</si>
  <si>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</si>
  <si>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</si>
  <si>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</si>
  <si>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</si>
  <si>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</si>
  <si>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</si>
  <si>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</si>
  <si>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</si>
  <si>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</si>
  <si>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</si>
  <si>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</si>
  <si>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</si>
  <si>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</si>
  <si>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</si>
  <si>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</si>
  <si>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</si>
  <si>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</si>
  <si>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</si>
  <si>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</si>
  <si>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</si>
  <si>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</si>
  <si>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</si>
  <si>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</si>
  <si>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</si>
  <si>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</si>
  <si>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</si>
  <si>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</si>
  <si>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</si>
  <si>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</si>
  <si>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</si>
  <si>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</si>
  <si>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</si>
  <si>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</si>
  <si>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</si>
  <si>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</si>
  <si>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</si>
  <si>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</si>
  <si>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</si>
  <si>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</si>
  <si>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</si>
  <si>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</si>
  <si>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</si>
  <si>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</si>
  <si>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</si>
  <si>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</si>
  <si>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</si>
  <si>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</si>
  <si>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</si>
  <si>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</si>
  <si>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</si>
  <si>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</si>
  <si>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</si>
  <si>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</si>
  <si>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</si>
  <si>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</si>
  <si>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</si>
  <si>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</si>
  <si>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</si>
  <si>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</si>
  <si>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</si>
  <si>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</si>
  <si>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</si>
  <si>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</si>
  <si>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</si>
  <si>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</si>
  <si>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</si>
  <si>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</si>
  <si>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</si>
  <si>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</si>
  <si>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</si>
  <si>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</si>
  <si>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</si>
  <si>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</si>
  <si>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</si>
  <si>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</si>
  <si>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</si>
  <si>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</si>
  <si>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</si>
  <si>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</si>
  <si>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</si>
  <si>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</si>
  <si>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</si>
  <si>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</si>
  <si>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</si>
  <si>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</si>
  <si>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</si>
  <si>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</si>
  <si>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</si>
  <si>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</si>
  <si>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</si>
  <si>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</si>
  <si>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</si>
  <si>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</si>
  <si>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</si>
  <si>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</si>
  <si>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</si>
  <si>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</si>
  <si>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</si>
  <si>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</si>
  <si>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</si>
  <si>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</si>
  <si>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</si>
  <si>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</si>
  <si>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</si>
  <si>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</si>
  <si>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</si>
  <si>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</si>
  <si>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</si>
  <si>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</si>
  <si>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</si>
  <si>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</si>
  <si>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</si>
  <si>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</si>
  <si>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</si>
  <si>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</si>
  <si>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</si>
  <si>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</si>
  <si>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</si>
  <si>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</si>
  <si>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</si>
  <si>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</si>
  <si>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</si>
  <si>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</si>
  <si>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</si>
  <si>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</si>
  <si>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</si>
  <si>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</si>
  <si>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</si>
  <si>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</si>
  <si>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</si>
  <si>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</si>
  <si>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</si>
  <si>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</si>
  <si>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</si>
  <si>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</si>
  <si>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</si>
  <si>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</si>
  <si>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</si>
  <si>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</si>
  <si>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</si>
  <si>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</si>
  <si>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</si>
  <si>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</si>
  <si>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</si>
  <si>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</si>
  <si>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</si>
  <si>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</si>
  <si>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</si>
  <si>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</si>
  <si>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</si>
  <si>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</si>
  <si>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</si>
  <si>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</si>
  <si>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</si>
  <si>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</si>
  <si>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</si>
  <si>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</si>
  <si>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</si>
  <si>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</si>
  <si>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</si>
  <si>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</si>
  <si>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</si>
  <si>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</si>
  <si>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</si>
  <si>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</si>
  <si>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</si>
  <si>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</si>
  <si>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</si>
  <si>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</si>
  <si>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</si>
  <si>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</si>
  <si>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</si>
  <si>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</si>
  <si>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</si>
  <si>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</si>
  <si>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</si>
  <si>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</si>
  <si>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</si>
  <si>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</si>
  <si>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</si>
  <si>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</si>
  <si>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</si>
  <si>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</si>
  <si>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</si>
  <si>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</si>
  <si>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</si>
  <si>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</si>
  <si>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</si>
  <si>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</si>
  <si>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</si>
  <si>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</si>
  <si>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</si>
  <si>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</si>
  <si>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</si>
  <si>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</si>
  <si>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</si>
  <si>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</si>
  <si>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</si>
  <si>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</si>
  <si>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15.10.15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</si>
</sst>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311</v>
      </c>
      <c r="N3" s="262" t="s">
        <v>312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307</v>
      </c>
      <c r="F4" s="245" t="s">
        <v>116</v>
      </c>
      <c r="G4" s="247" t="s">
        <v>308</v>
      </c>
      <c r="H4" s="249" t="s">
        <v>309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314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310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500674.94</v>
      </c>
      <c r="G8" s="18">
        <f aca="true" t="shared" si="0" ref="G8:G54">F8-E8</f>
        <v>-2850.530000000028</v>
      </c>
      <c r="H8" s="45">
        <f>F8/E8*100</f>
        <v>99.4338856383968</v>
      </c>
      <c r="I8" s="31">
        <f aca="true" t="shared" si="1" ref="I8:I54">F8-D8</f>
        <v>-71614.06</v>
      </c>
      <c r="J8" s="31">
        <f aca="true" t="shared" si="2" ref="J8:J14">F8/D8*100</f>
        <v>87.48638188048346</v>
      </c>
      <c r="K8" s="18">
        <f>K9+K15+K18+K19+K20+K32</f>
        <v>99450.14799999999</v>
      </c>
      <c r="L8" s="18"/>
      <c r="M8" s="18">
        <f>M9+M15+M18+M19+M20+M32+M17</f>
        <v>44772.97000000001</v>
      </c>
      <c r="N8" s="18">
        <f>N9+N15+N18+N19+N20+N32+N17</f>
        <v>19795.690000000013</v>
      </c>
      <c r="O8" s="31">
        <f aca="true" t="shared" si="3" ref="O8:O54">N8-M8</f>
        <v>-24977.279999999995</v>
      </c>
      <c r="P8" s="31">
        <f>F8/M8*100</f>
        <v>1118.2526868331493</v>
      </c>
      <c r="Q8" s="31">
        <f>N8-33748.16</f>
        <v>-13952.46999999999</v>
      </c>
      <c r="R8" s="125">
        <f>N8/33748.16</f>
        <v>0.586570941941724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278144.35</v>
      </c>
      <c r="G9" s="43">
        <f t="shared" si="0"/>
        <v>8279.229999999981</v>
      </c>
      <c r="H9" s="35">
        <f aca="true" t="shared" si="4" ref="H9:H32">F9/E9*100</f>
        <v>103.0679140750016</v>
      </c>
      <c r="I9" s="50">
        <f t="shared" si="1"/>
        <v>-34545.65000000002</v>
      </c>
      <c r="J9" s="50">
        <f t="shared" si="2"/>
        <v>88.95210911765645</v>
      </c>
      <c r="K9" s="132">
        <f>F9-316022.19/75*60</f>
        <v>25326.59799999997</v>
      </c>
      <c r="L9" s="132">
        <f>F9/(316022.19/75*60)*100</f>
        <v>110.01772929299678</v>
      </c>
      <c r="M9" s="35">
        <f>E9-вересень!E9</f>
        <v>21250.570000000007</v>
      </c>
      <c r="N9" s="35">
        <f>F9-вересень!F9</f>
        <v>13768.940000000002</v>
      </c>
      <c r="O9" s="47">
        <f t="shared" si="3"/>
        <v>-7481.630000000005</v>
      </c>
      <c r="P9" s="50">
        <f aca="true" t="shared" si="5" ref="P9:P32">N9/M9*100</f>
        <v>64.79327378042093</v>
      </c>
      <c r="Q9" s="132">
        <f>N9-26568.11</f>
        <v>-12799.169999999998</v>
      </c>
      <c r="R9" s="133">
        <f>N9/26568.11</f>
        <v>0.5182506395825673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246417.16</v>
      </c>
      <c r="G10" s="135">
        <f t="shared" si="0"/>
        <v>10456.339999999997</v>
      </c>
      <c r="H10" s="137">
        <f t="shared" si="4"/>
        <v>104.43138822792699</v>
      </c>
      <c r="I10" s="136">
        <f t="shared" si="1"/>
        <v>6007.1600000000035</v>
      </c>
      <c r="J10" s="136">
        <f t="shared" si="2"/>
        <v>102.49871469572813</v>
      </c>
      <c r="K10" s="138">
        <f>F10-281171.58/75*60</f>
        <v>21479.896000000008</v>
      </c>
      <c r="L10" s="138">
        <f>F10/(281171.58/75*60)*100</f>
        <v>109.54928303920333</v>
      </c>
      <c r="M10" s="137">
        <f>E10-вересень!E10</f>
        <v>17470.570000000007</v>
      </c>
      <c r="N10" s="137">
        <f>F10-вересень!F10</f>
        <v>12480.679999999993</v>
      </c>
      <c r="O10" s="138">
        <f t="shared" si="3"/>
        <v>-4989.890000000014</v>
      </c>
      <c r="P10" s="136">
        <f t="shared" si="5"/>
        <v>71.43831025547527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14349.55</v>
      </c>
      <c r="G11" s="135">
        <f t="shared" si="0"/>
        <v>-4568.350000000002</v>
      </c>
      <c r="H11" s="137">
        <f t="shared" si="4"/>
        <v>75.8517065847689</v>
      </c>
      <c r="I11" s="136">
        <f t="shared" si="1"/>
        <v>-9350.45</v>
      </c>
      <c r="J11" s="136">
        <f t="shared" si="2"/>
        <v>60.54662447257384</v>
      </c>
      <c r="K11" s="138">
        <f>F11-21169.22/75*60</f>
        <v>-2585.8260000000046</v>
      </c>
      <c r="L11" s="138">
        <f>F11/(21169.22/75*60)*100</f>
        <v>84.73121588797318</v>
      </c>
      <c r="M11" s="137">
        <f>E11-вересень!E11</f>
        <v>2130</v>
      </c>
      <c r="N11" s="137">
        <f>F11-вересень!F11</f>
        <v>346.85999999999876</v>
      </c>
      <c r="O11" s="138">
        <f t="shared" si="3"/>
        <v>-1783.1400000000012</v>
      </c>
      <c r="P11" s="136">
        <f t="shared" si="5"/>
        <v>16.284507042253463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3932.33</v>
      </c>
      <c r="G12" s="135">
        <f t="shared" si="0"/>
        <v>-516.6700000000001</v>
      </c>
      <c r="H12" s="137">
        <f t="shared" si="4"/>
        <v>88.38682850078669</v>
      </c>
      <c r="I12" s="136">
        <f t="shared" si="1"/>
        <v>-1867.67</v>
      </c>
      <c r="J12" s="136">
        <f t="shared" si="2"/>
        <v>67.79879310344828</v>
      </c>
      <c r="K12" s="138">
        <f>F12-5687.46/75*60</f>
        <v>-617.6380000000008</v>
      </c>
      <c r="L12" s="138">
        <f>F12/(5687.46*60)*100</f>
        <v>1.1523392398950205</v>
      </c>
      <c r="M12" s="137">
        <f>E12-вересень!E12</f>
        <v>540</v>
      </c>
      <c r="N12" s="137">
        <f>F12-вересень!F12</f>
        <v>187.69000000000005</v>
      </c>
      <c r="O12" s="138">
        <f t="shared" si="3"/>
        <v>-352.30999999999995</v>
      </c>
      <c r="P12" s="136">
        <f t="shared" si="5"/>
        <v>34.75740740740742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5882.74</v>
      </c>
      <c r="G13" s="135">
        <f t="shared" si="0"/>
        <v>-1060.6599999999999</v>
      </c>
      <c r="H13" s="137">
        <f t="shared" si="4"/>
        <v>84.72419851945733</v>
      </c>
      <c r="I13" s="136">
        <f t="shared" si="1"/>
        <v>-2517.26</v>
      </c>
      <c r="J13" s="136">
        <f t="shared" si="2"/>
        <v>70.03261904761905</v>
      </c>
      <c r="K13" s="138">
        <f>F13-7878.81/75*60</f>
        <v>-420.3080000000009</v>
      </c>
      <c r="L13" s="138">
        <f>F13/(7878.81/75*60)*100</f>
        <v>93.33167064569395</v>
      </c>
      <c r="M13" s="137">
        <f>E13-вересень!E13</f>
        <v>720</v>
      </c>
      <c r="N13" s="137">
        <f>F13-вересень!F13</f>
        <v>152.5</v>
      </c>
      <c r="O13" s="138">
        <f t="shared" si="3"/>
        <v>-567.5</v>
      </c>
      <c r="P13" s="136">
        <f t="shared" si="5"/>
        <v>21.180555555555554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7562.57</v>
      </c>
      <c r="G14" s="135">
        <f t="shared" si="0"/>
        <v>3968.5699999999997</v>
      </c>
      <c r="H14" s="137">
        <f t="shared" si="4"/>
        <v>210.4220923761825</v>
      </c>
      <c r="I14" s="136">
        <f t="shared" si="1"/>
        <v>3182.5699999999997</v>
      </c>
      <c r="J14" s="136">
        <f t="shared" si="2"/>
        <v>172.66141552511417</v>
      </c>
      <c r="K14" s="138">
        <f>F14-115.12/75*60</f>
        <v>7470.474</v>
      </c>
      <c r="L14" s="138">
        <f>F14/(115.12/75*60)*100</f>
        <v>8211.616139680333</v>
      </c>
      <c r="M14" s="137">
        <f>E14-вересень!E14</f>
        <v>390</v>
      </c>
      <c r="N14" s="137">
        <f>F14-вересень!F14</f>
        <v>601.21</v>
      </c>
      <c r="O14" s="138">
        <f t="shared" si="3"/>
        <v>211.21000000000004</v>
      </c>
      <c r="P14" s="136">
        <f t="shared" si="5"/>
        <v>154.15641025641028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-614.03</v>
      </c>
      <c r="G15" s="43">
        <f t="shared" si="0"/>
        <v>-785.43</v>
      </c>
      <c r="H15" s="35"/>
      <c r="I15" s="50">
        <f t="shared" si="1"/>
        <v>-614.03</v>
      </c>
      <c r="J15" s="50" t="e">
        <f>F15/D15*100</f>
        <v>#DIV/0!</v>
      </c>
      <c r="K15" s="53">
        <f>F15-(-880.89)</f>
        <v>266.86</v>
      </c>
      <c r="L15" s="53">
        <f>F15/(-880.89)*100</f>
        <v>69.70563861549115</v>
      </c>
      <c r="M15" s="35">
        <f>E15-вересень!E15</f>
        <v>0</v>
      </c>
      <c r="N15" s="35">
        <f>F15-вересень!F15</f>
        <v>52.66000000000008</v>
      </c>
      <c r="O15" s="47">
        <f t="shared" si="3"/>
        <v>52.66000000000008</v>
      </c>
      <c r="P15" s="50"/>
      <c r="Q15" s="50">
        <f>N15-358.81</f>
        <v>-306.1499999999999</v>
      </c>
      <c r="R15" s="126">
        <f>N15/358.81</f>
        <v>0.14676291073269998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F17-0.04</f>
        <v>0.049999999999999996</v>
      </c>
      <c r="L17" s="138"/>
      <c r="M17" s="35">
        <f>E17-вересень!E17</f>
        <v>0</v>
      </c>
      <c r="N17" s="35">
        <f>F17-вересень!F17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51685.3</v>
      </c>
      <c r="G19" s="43">
        <f t="shared" si="0"/>
        <v>-5837.449999999997</v>
      </c>
      <c r="H19" s="35">
        <f t="shared" si="4"/>
        <v>89.85192815016669</v>
      </c>
      <c r="I19" s="50">
        <f t="shared" si="1"/>
        <v>-10524.699999999997</v>
      </c>
      <c r="J19" s="178">
        <f>F19/D19*100</f>
        <v>83.08198038900498</v>
      </c>
      <c r="K19" s="179">
        <f>F19-0</f>
        <v>51685.3</v>
      </c>
      <c r="L19" s="180"/>
      <c r="M19" s="35">
        <f>E19-вересень!E19</f>
        <v>6800</v>
      </c>
      <c r="N19" s="35">
        <f>F19-вересень!F19</f>
        <v>216.4300000000003</v>
      </c>
      <c r="O19" s="47">
        <f t="shared" si="3"/>
        <v>-6583.57</v>
      </c>
      <c r="P19" s="50">
        <f t="shared" si="5"/>
        <v>3.1827941176470627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165862.79</v>
      </c>
      <c r="G20" s="43">
        <f t="shared" si="0"/>
        <v>-4331.109999999986</v>
      </c>
      <c r="H20" s="35">
        <f t="shared" si="4"/>
        <v>97.45519081471194</v>
      </c>
      <c r="I20" s="50">
        <f t="shared" si="1"/>
        <v>-24007.209999999992</v>
      </c>
      <c r="J20" s="178">
        <f aca="true" t="shared" si="6" ref="J20:J46">F20/D20*100</f>
        <v>87.35597514088587</v>
      </c>
      <c r="K20" s="178">
        <f>K21+K25+K26+K27</f>
        <v>23957.22000000001</v>
      </c>
      <c r="L20" s="136"/>
      <c r="M20" s="35">
        <f>E20-вересень!E20</f>
        <v>16715.5</v>
      </c>
      <c r="N20" s="35">
        <f>F20-вересень!F20</f>
        <v>5756.200000000012</v>
      </c>
      <c r="O20" s="47">
        <f t="shared" si="3"/>
        <v>-10959.299999999988</v>
      </c>
      <c r="P20" s="50">
        <f t="shared" si="5"/>
        <v>34.43630163620598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90544.54000000001</v>
      </c>
      <c r="G21" s="43">
        <f t="shared" si="0"/>
        <v>-5737.859999999986</v>
      </c>
      <c r="H21" s="35">
        <f t="shared" si="4"/>
        <v>94.0405930886642</v>
      </c>
      <c r="I21" s="50">
        <f t="shared" si="1"/>
        <v>-19755.459999999992</v>
      </c>
      <c r="J21" s="178">
        <f t="shared" si="6"/>
        <v>82.08933816863102</v>
      </c>
      <c r="K21" s="178">
        <f>K22+K23+K24</f>
        <v>21840.70000000001</v>
      </c>
      <c r="L21" s="136"/>
      <c r="M21" s="35">
        <f>E21-вересень!E21</f>
        <v>10382</v>
      </c>
      <c r="N21" s="35">
        <f>F21-вересень!F21</f>
        <v>1565.2200000000157</v>
      </c>
      <c r="O21" s="47">
        <f t="shared" si="3"/>
        <v>-8816.779999999984</v>
      </c>
      <c r="P21" s="50">
        <f t="shared" si="5"/>
        <v>15.076285879406818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9601.09</v>
      </c>
      <c r="G22" s="135">
        <f t="shared" si="0"/>
        <v>-1044.3099999999995</v>
      </c>
      <c r="H22" s="137">
        <f t="shared" si="4"/>
        <v>90.19003513254552</v>
      </c>
      <c r="I22" s="136">
        <f t="shared" si="1"/>
        <v>-1098.9099999999999</v>
      </c>
      <c r="J22" s="136">
        <f t="shared" si="6"/>
        <v>89.72981308411215</v>
      </c>
      <c r="K22" s="136">
        <f>F22-437</f>
        <v>9164.09</v>
      </c>
      <c r="L22" s="136">
        <f>F22/437*100</f>
        <v>2197.045766590389</v>
      </c>
      <c r="M22" s="137">
        <f>E22-вересень!E22</f>
        <v>1851</v>
      </c>
      <c r="N22" s="137">
        <f>F22-вересень!F22</f>
        <v>469.40999999999985</v>
      </c>
      <c r="O22" s="138">
        <f t="shared" si="3"/>
        <v>-1381.5900000000001</v>
      </c>
      <c r="P22" s="136">
        <f t="shared" si="5"/>
        <v>25.359805510534837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3375.74</v>
      </c>
      <c r="G23" s="135">
        <f t="shared" si="0"/>
        <v>1283.7399999999998</v>
      </c>
      <c r="H23" s="137">
        <f t="shared" si="4"/>
        <v>161.3642447418738</v>
      </c>
      <c r="I23" s="136">
        <f t="shared" si="1"/>
        <v>1275.7399999999998</v>
      </c>
      <c r="J23" s="136">
        <f t="shared" si="6"/>
        <v>160.74952380952382</v>
      </c>
      <c r="K23" s="136">
        <f>F23-0</f>
        <v>3375.74</v>
      </c>
      <c r="L23" s="136"/>
      <c r="M23" s="137">
        <f>E23-вересень!E23</f>
        <v>305</v>
      </c>
      <c r="N23" s="137">
        <f>F23-вересень!F23</f>
        <v>42.10999999999967</v>
      </c>
      <c r="O23" s="138">
        <f t="shared" si="3"/>
        <v>-262.8900000000003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77567.71</v>
      </c>
      <c r="G24" s="135">
        <f t="shared" si="0"/>
        <v>-5977.289999999994</v>
      </c>
      <c r="H24" s="137">
        <f t="shared" si="4"/>
        <v>92.84542462146149</v>
      </c>
      <c r="I24" s="136">
        <f t="shared" si="1"/>
        <v>-19932.289999999994</v>
      </c>
      <c r="J24" s="136">
        <f t="shared" si="6"/>
        <v>79.55662564102565</v>
      </c>
      <c r="K24" s="224">
        <f>F24-68266.84</f>
        <v>9300.87000000001</v>
      </c>
      <c r="L24" s="224">
        <f>F24/68266.84*100</f>
        <v>113.62428669614708</v>
      </c>
      <c r="M24" s="137">
        <f>E24-вересень!E24</f>
        <v>8226</v>
      </c>
      <c r="N24" s="137">
        <f>F24-вересень!F24</f>
        <v>1053.7000000000116</v>
      </c>
      <c r="O24" s="138">
        <f t="shared" si="3"/>
        <v>-7172.299999999988</v>
      </c>
      <c r="P24" s="136">
        <f t="shared" si="5"/>
        <v>12.809384877218715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55.85</v>
      </c>
      <c r="G25" s="43">
        <f t="shared" si="0"/>
        <v>4.350000000000001</v>
      </c>
      <c r="H25" s="35">
        <f t="shared" si="4"/>
        <v>108.44660194174757</v>
      </c>
      <c r="I25" s="50">
        <f t="shared" si="1"/>
        <v>-14.149999999999999</v>
      </c>
      <c r="J25" s="178">
        <f t="shared" si="6"/>
        <v>79.78571428571429</v>
      </c>
      <c r="K25" s="178">
        <f>F25-48.79</f>
        <v>7.060000000000002</v>
      </c>
      <c r="L25" s="178">
        <f>F25/48.79*100</f>
        <v>114.47017831522854</v>
      </c>
      <c r="M25" s="35">
        <f>E25-вересень!E25</f>
        <v>10</v>
      </c>
      <c r="N25" s="35">
        <f>F25-вересень!F25</f>
        <v>0</v>
      </c>
      <c r="O25" s="47">
        <f t="shared" si="3"/>
        <v>-10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-729.25</v>
      </c>
      <c r="G26" s="43">
        <f t="shared" si="0"/>
        <v>-729.25</v>
      </c>
      <c r="H26" s="35"/>
      <c r="I26" s="50">
        <f t="shared" si="1"/>
        <v>-729.25</v>
      </c>
      <c r="J26" s="136"/>
      <c r="K26" s="178">
        <f>F26-5295.66</f>
        <v>-6024.91</v>
      </c>
      <c r="L26" s="178">
        <f>F26/5295.66*100</f>
        <v>-13.770710355272053</v>
      </c>
      <c r="M26" s="35">
        <f>E26-вересень!E26</f>
        <v>0</v>
      </c>
      <c r="N26" s="35">
        <f>F26-вересень!F26</f>
        <v>-23.269999999999982</v>
      </c>
      <c r="O26" s="47">
        <f t="shared" si="3"/>
        <v>-23.269999999999982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75991.65</v>
      </c>
      <c r="G27" s="43">
        <f t="shared" si="0"/>
        <v>2131.649999999994</v>
      </c>
      <c r="H27" s="35">
        <f t="shared" si="4"/>
        <v>102.88606823720552</v>
      </c>
      <c r="I27" s="50">
        <f t="shared" si="1"/>
        <v>-3508.350000000006</v>
      </c>
      <c r="J27" s="178">
        <f t="shared" si="6"/>
        <v>95.58698113207546</v>
      </c>
      <c r="K27" s="132">
        <f>F27-67857.28</f>
        <v>8134.369999999995</v>
      </c>
      <c r="L27" s="132">
        <f>F27/67857.28*100</f>
        <v>111.98746840427438</v>
      </c>
      <c r="M27" s="35">
        <f>E27-вересень!E27</f>
        <v>6323.5</v>
      </c>
      <c r="N27" s="35">
        <f>F27-вересень!F27</f>
        <v>4214.25</v>
      </c>
      <c r="O27" s="47">
        <f t="shared" si="3"/>
        <v>-2109.25</v>
      </c>
      <c r="P27" s="50">
        <f t="shared" si="5"/>
        <v>66.64426346169053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18214.92</v>
      </c>
      <c r="G29" s="135">
        <f t="shared" si="0"/>
        <v>134.91999999999825</v>
      </c>
      <c r="H29" s="137">
        <f t="shared" si="4"/>
        <v>100.74623893805308</v>
      </c>
      <c r="I29" s="136">
        <f t="shared" si="1"/>
        <v>-985.0800000000017</v>
      </c>
      <c r="J29" s="136">
        <f t="shared" si="6"/>
        <v>94.86937499999999</v>
      </c>
      <c r="K29" s="139">
        <f>F29-18415.97</f>
        <v>-201.0500000000029</v>
      </c>
      <c r="L29" s="139">
        <f>F29/18415.97*100</f>
        <v>98.90828449438176</v>
      </c>
      <c r="M29" s="137">
        <f>E29-вересень!E29</f>
        <v>1300</v>
      </c>
      <c r="N29" s="137">
        <f>F29-вересень!F29</f>
        <v>475.15999999999985</v>
      </c>
      <c r="O29" s="138">
        <f t="shared" si="3"/>
        <v>-824.8400000000001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57755.07</v>
      </c>
      <c r="G30" s="135">
        <f t="shared" si="0"/>
        <v>1975.0699999999997</v>
      </c>
      <c r="H30" s="137">
        <f t="shared" si="4"/>
        <v>103.54082108282539</v>
      </c>
      <c r="I30" s="136">
        <f t="shared" si="1"/>
        <v>-2544.9300000000003</v>
      </c>
      <c r="J30" s="136">
        <f t="shared" si="6"/>
        <v>95.77955223880596</v>
      </c>
      <c r="K30" s="139">
        <f>F30-49440.11</f>
        <v>8314.96</v>
      </c>
      <c r="L30" s="139">
        <f>F30/49440.11*100</f>
        <v>116.81824737040432</v>
      </c>
      <c r="M30" s="137">
        <f>E30-вересень!E30</f>
        <v>5023.5</v>
      </c>
      <c r="N30" s="137">
        <f>F30-вересень!F30</f>
        <v>3739.0999999999985</v>
      </c>
      <c r="O30" s="138">
        <f t="shared" si="3"/>
        <v>-1284.4000000000015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E31-вересень!E31</f>
        <v>0</v>
      </c>
      <c r="N31" s="137">
        <f>F31-вересень!F31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5580.64</v>
      </c>
      <c r="G32" s="43">
        <f t="shared" si="0"/>
        <v>-178.65999999999985</v>
      </c>
      <c r="H32" s="35">
        <f t="shared" si="4"/>
        <v>96.89788689597695</v>
      </c>
      <c r="I32" s="50">
        <f t="shared" si="1"/>
        <v>-1919.3599999999997</v>
      </c>
      <c r="J32" s="178">
        <f t="shared" si="6"/>
        <v>74.40853333333334</v>
      </c>
      <c r="K32" s="178">
        <f>F32-7378.96</f>
        <v>-1798.3199999999997</v>
      </c>
      <c r="L32" s="178">
        <f>F32/7378.96*100</f>
        <v>75.62908594165032</v>
      </c>
      <c r="M32" s="35">
        <f>E32-вересень!E32</f>
        <v>6.900000000000546</v>
      </c>
      <c r="N32" s="35">
        <f>F32-вересень!F32</f>
        <v>1.4600000000000364</v>
      </c>
      <c r="O32" s="47">
        <f t="shared" si="3"/>
        <v>-5.440000000000509</v>
      </c>
      <c r="P32" s="50">
        <f t="shared" si="5"/>
        <v>21.159420289853927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34177.08</v>
      </c>
      <c r="G33" s="44">
        <f t="shared" si="0"/>
        <v>1626.8100000000013</v>
      </c>
      <c r="H33" s="45">
        <f aca="true" t="shared" si="7" ref="H33:H38">F33/E33*100</f>
        <v>104.99783872760501</v>
      </c>
      <c r="I33" s="31">
        <f t="shared" si="1"/>
        <v>-1462.489999999998</v>
      </c>
      <c r="J33" s="31">
        <f t="shared" si="6"/>
        <v>95.89644319502172</v>
      </c>
      <c r="K33" s="18">
        <f>K34+K35+K36+K37+K38+K41+K42+K47+K48+K52+K40</f>
        <v>23388.91</v>
      </c>
      <c r="L33" s="18"/>
      <c r="M33" s="18">
        <f>M34+M35+M36+M37+M38+M41+M42+M47+M48+M52+M40+M39</f>
        <v>5900.27</v>
      </c>
      <c r="N33" s="18">
        <f>N34+N35+N36+N37+N38+N41+N42+N47+N48+N52+N40+N39</f>
        <v>5932.449999999999</v>
      </c>
      <c r="O33" s="49">
        <f t="shared" si="3"/>
        <v>32.17999999999847</v>
      </c>
      <c r="P33" s="31">
        <f>N33/M33*100</f>
        <v>100.54539876988677</v>
      </c>
      <c r="Q33" s="31">
        <f>N33-1017.63</f>
        <v>4914.819999999999</v>
      </c>
      <c r="R33" s="127">
        <f>N33/1017.63</f>
        <v>5.829672867348642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E34-вересень!E34</f>
        <v>0</v>
      </c>
      <c r="N34" s="35">
        <f>F34-вересень!F34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330.71</v>
      </c>
      <c r="G36" s="43">
        <f t="shared" si="0"/>
        <v>90.70999999999998</v>
      </c>
      <c r="H36" s="35">
        <f t="shared" si="7"/>
        <v>137.79583333333332</v>
      </c>
      <c r="I36" s="50">
        <f t="shared" si="1"/>
        <v>90.70999999999998</v>
      </c>
      <c r="J36" s="50"/>
      <c r="K36" s="50">
        <f>F36-279.6</f>
        <v>51.10999999999996</v>
      </c>
      <c r="L36" s="50">
        <f>F36/279.6*100</f>
        <v>118.2796852646638</v>
      </c>
      <c r="M36" s="35">
        <f>E36-вересень!E36</f>
        <v>0</v>
      </c>
      <c r="N36" s="35">
        <f>F36-вересень!F36</f>
        <v>8.729999999999961</v>
      </c>
      <c r="O36" s="47">
        <f t="shared" si="3"/>
        <v>8.729999999999961</v>
      </c>
      <c r="P36" s="50"/>
      <c r="Q36" s="50">
        <f>N36-4.23</f>
        <v>4.499999999999961</v>
      </c>
      <c r="R36" s="126">
        <f>N36/4.23</f>
        <v>2.063829787234033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119.6</v>
      </c>
      <c r="G38" s="43">
        <f t="shared" si="0"/>
        <v>-0.4000000000000057</v>
      </c>
      <c r="H38" s="35">
        <f t="shared" si="7"/>
        <v>99.66666666666666</v>
      </c>
      <c r="I38" s="50">
        <f t="shared" si="1"/>
        <v>-20.400000000000006</v>
      </c>
      <c r="J38" s="50">
        <f t="shared" si="6"/>
        <v>85.42857142857142</v>
      </c>
      <c r="K38" s="50">
        <f>F38-112.45</f>
        <v>7.1499999999999915</v>
      </c>
      <c r="L38" s="50">
        <f>F38/112.45*100</f>
        <v>106.35838150289017</v>
      </c>
      <c r="M38" s="35">
        <f>E38-вересень!E38</f>
        <v>15</v>
      </c>
      <c r="N38" s="35">
        <f>F38-вересень!F38</f>
        <v>2.489999999999995</v>
      </c>
      <c r="O38" s="47">
        <f t="shared" si="3"/>
        <v>-12.510000000000005</v>
      </c>
      <c r="P38" s="50">
        <f>N38/M38*100</f>
        <v>16.599999999999966</v>
      </c>
      <c r="Q38" s="50">
        <f>N38-9.02</f>
        <v>-6.530000000000005</v>
      </c>
      <c r="R38" s="126">
        <f>N38/9.02</f>
        <v>0.2760532150776048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E39-вересень!E39</f>
        <v>0</v>
      </c>
      <c r="N39" s="35">
        <f>F39-вересень!F39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7980.07</v>
      </c>
      <c r="G40" s="43">
        <f t="shared" si="0"/>
        <v>-856.9300000000003</v>
      </c>
      <c r="H40" s="35">
        <f aca="true" t="shared" si="8" ref="H40:H46">F40/E40*100</f>
        <v>90.30293085888876</v>
      </c>
      <c r="I40" s="50">
        <f t="shared" si="1"/>
        <v>-1019.9300000000003</v>
      </c>
      <c r="J40" s="50"/>
      <c r="K40" s="50">
        <f>F40-0</f>
        <v>7980.07</v>
      </c>
      <c r="L40" s="50"/>
      <c r="M40" s="35">
        <f>E40-вересень!E40</f>
        <v>900</v>
      </c>
      <c r="N40" s="35">
        <f>F40-вересень!F40</f>
        <v>374.6099999999997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5936.7</v>
      </c>
      <c r="G42" s="43">
        <f t="shared" si="0"/>
        <v>-454.60000000000036</v>
      </c>
      <c r="H42" s="35">
        <f t="shared" si="8"/>
        <v>92.8872060457184</v>
      </c>
      <c r="I42" s="50">
        <f t="shared" si="1"/>
        <v>-1163.3000000000002</v>
      </c>
      <c r="J42" s="50">
        <f t="shared" si="6"/>
        <v>83.61549295774647</v>
      </c>
      <c r="K42" s="50">
        <f>F42-865.17</f>
        <v>5071.53</v>
      </c>
      <c r="L42" s="50">
        <f>F42/865.17*100</f>
        <v>686.1888414993584</v>
      </c>
      <c r="M42" s="35">
        <f>E42-вересень!E42</f>
        <v>592.3000000000002</v>
      </c>
      <c r="N42" s="35">
        <f>F42-вересень!F42</f>
        <v>214.75</v>
      </c>
      <c r="O42" s="47">
        <f t="shared" si="3"/>
        <v>-377.5500000000002</v>
      </c>
      <c r="P42" s="50">
        <f>N42/M42*100</f>
        <v>36.25696437616072</v>
      </c>
      <c r="Q42" s="50">
        <f>N42-79.51</f>
        <v>135.24</v>
      </c>
      <c r="R42" s="126">
        <f>N42/79.51</f>
        <v>2.700918123506477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832.39</v>
      </c>
      <c r="G43" s="135">
        <f t="shared" si="0"/>
        <v>-77.61000000000001</v>
      </c>
      <c r="H43" s="35">
        <f t="shared" si="8"/>
        <v>91.47142857142858</v>
      </c>
      <c r="I43" s="136">
        <f t="shared" si="1"/>
        <v>-267.61</v>
      </c>
      <c r="J43" s="136">
        <f t="shared" si="6"/>
        <v>75.67181818181818</v>
      </c>
      <c r="K43" s="136">
        <f>F43-757.36</f>
        <v>75.02999999999997</v>
      </c>
      <c r="L43" s="136">
        <f>F43/757.36*100</f>
        <v>109.90678145135735</v>
      </c>
      <c r="M43" s="137">
        <f>E43-вересень!E43</f>
        <v>70</v>
      </c>
      <c r="N43" s="137">
        <f>F43-вересень!F43</f>
        <v>30.549999999999955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44.07</v>
      </c>
      <c r="G44" s="135">
        <f t="shared" si="0"/>
        <v>-25.93</v>
      </c>
      <c r="H44" s="35">
        <f t="shared" si="8"/>
        <v>62.957142857142856</v>
      </c>
      <c r="I44" s="136">
        <f t="shared" si="1"/>
        <v>-35.93</v>
      </c>
      <c r="J44" s="136"/>
      <c r="K44" s="136">
        <f>F44-0</f>
        <v>44.07</v>
      </c>
      <c r="L44" s="136"/>
      <c r="M44" s="137">
        <f>E44-вересень!E44</f>
        <v>10</v>
      </c>
      <c r="N44" s="137">
        <f>F44-вересень!F44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5059.49</v>
      </c>
      <c r="G46" s="135">
        <f t="shared" si="0"/>
        <v>-350.5100000000002</v>
      </c>
      <c r="H46" s="35">
        <f t="shared" si="8"/>
        <v>93.52107208872458</v>
      </c>
      <c r="I46" s="136">
        <f t="shared" si="1"/>
        <v>-858.5100000000002</v>
      </c>
      <c r="J46" s="136">
        <f t="shared" si="6"/>
        <v>85.4932409597837</v>
      </c>
      <c r="K46" s="136">
        <f>F46-107.81</f>
        <v>4951.679999999999</v>
      </c>
      <c r="L46" s="136">
        <f>F46/107.81*100</f>
        <v>4692.969112327242</v>
      </c>
      <c r="M46" s="137">
        <f>E46-вересень!E46</f>
        <v>512</v>
      </c>
      <c r="N46" s="137">
        <f>F46-вересень!F46</f>
        <v>184.19999999999982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3914.67</v>
      </c>
      <c r="G48" s="43">
        <f t="shared" si="0"/>
        <v>464.6700000000001</v>
      </c>
      <c r="H48" s="35">
        <f>F48/E48*100</f>
        <v>113.46869565217392</v>
      </c>
      <c r="I48" s="50">
        <f t="shared" si="1"/>
        <v>-285.3299999999999</v>
      </c>
      <c r="J48" s="50">
        <f>F48/D48*100</f>
        <v>93.20642857142857</v>
      </c>
      <c r="K48" s="50">
        <f>F48-3446.94</f>
        <v>467.73</v>
      </c>
      <c r="L48" s="50">
        <f>F48/3446.94*100</f>
        <v>113.56942679594076</v>
      </c>
      <c r="M48" s="35">
        <f>E48-вересень!E48</f>
        <v>360</v>
      </c>
      <c r="N48" s="35">
        <f>F48-вересень!F48</f>
        <v>343.22000000000025</v>
      </c>
      <c r="O48" s="47">
        <f t="shared" si="3"/>
        <v>-16.779999999999745</v>
      </c>
      <c r="P48" s="50">
        <f aca="true" t="shared" si="9" ref="P48:P53">N48/M48*100</f>
        <v>95.33888888888896</v>
      </c>
      <c r="Q48" s="50">
        <f>N48-277.38</f>
        <v>65.84000000000026</v>
      </c>
      <c r="R48" s="126">
        <f>N48/277.38</f>
        <v>1.2373639051121215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1029.7</v>
      </c>
      <c r="G51" s="135">
        <f t="shared" si="0"/>
        <v>1029.7</v>
      </c>
      <c r="H51" s="137"/>
      <c r="I51" s="136">
        <f t="shared" si="1"/>
        <v>1029.7</v>
      </c>
      <c r="J51" s="136"/>
      <c r="K51" s="219">
        <f>F51-838.39</f>
        <v>191.31000000000006</v>
      </c>
      <c r="L51" s="219">
        <f>F51/838.39*100</f>
        <v>122.81873591049512</v>
      </c>
      <c r="M51" s="35">
        <f>E51-вересень!E51</f>
        <v>0</v>
      </c>
      <c r="N51" s="35">
        <f>F51-вересень!F51</f>
        <v>50.5</v>
      </c>
      <c r="O51" s="138">
        <f t="shared" si="3"/>
        <v>50.5</v>
      </c>
      <c r="P51" s="136"/>
      <c r="Q51" s="50">
        <f>N51-64.93</f>
        <v>-14.430000000000007</v>
      </c>
      <c r="R51" s="126">
        <f>N51/64.93</f>
        <v>0.7777606653318958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18.42</v>
      </c>
      <c r="G53" s="43">
        <f t="shared" si="0"/>
        <v>-3.1799999999999997</v>
      </c>
      <c r="H53" s="35">
        <f>F53/E53*100</f>
        <v>85.27777777777777</v>
      </c>
      <c r="I53" s="50">
        <f t="shared" si="1"/>
        <v>-8.079999999999998</v>
      </c>
      <c r="J53" s="50">
        <f>F53/D53*100</f>
        <v>69.50943396226415</v>
      </c>
      <c r="K53" s="50">
        <f>F53-21.71</f>
        <v>-3.289999999999999</v>
      </c>
      <c r="L53" s="50">
        <f>F53/21.71*100</f>
        <v>84.84569322892676</v>
      </c>
      <c r="M53" s="35">
        <f>E53-вересень!E53</f>
        <v>2.200000000000003</v>
      </c>
      <c r="N53" s="35">
        <f>F53-вересень!F53</f>
        <v>4.000000000000002</v>
      </c>
      <c r="O53" s="47">
        <f t="shared" si="3"/>
        <v>1.799999999999999</v>
      </c>
      <c r="P53" s="50">
        <f t="shared" si="9"/>
        <v>181.81818181818164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534870.7500000001</v>
      </c>
      <c r="G55" s="44">
        <f>F55-E55</f>
        <v>-1226.589999999851</v>
      </c>
      <c r="H55" s="45">
        <f>F55/E55*100</f>
        <v>99.77120013316987</v>
      </c>
      <c r="I55" s="31">
        <f>F55-D55</f>
        <v>-73084.31999999983</v>
      </c>
      <c r="J55" s="31">
        <f>F55/D55*100</f>
        <v>87.97866427859549</v>
      </c>
      <c r="K55" s="31">
        <f>K8+K33+K53+K54</f>
        <v>122835.708</v>
      </c>
      <c r="L55" s="31">
        <f>F55/(F55-K55)*100</f>
        <v>129.81195662479598</v>
      </c>
      <c r="M55" s="18">
        <f>M8+M33+M53+M54</f>
        <v>50675.44</v>
      </c>
      <c r="N55" s="18">
        <f>N8+N33+N53+N54</f>
        <v>25732.140000000014</v>
      </c>
      <c r="O55" s="49">
        <f>N55-M55</f>
        <v>-24943.29999999999</v>
      </c>
      <c r="P55" s="31">
        <f>N55/M55*100</f>
        <v>50.778325753067</v>
      </c>
      <c r="Q55" s="31">
        <f>N55-34768</f>
        <v>-9035.859999999986</v>
      </c>
      <c r="R55" s="171">
        <f>N55/34768</f>
        <v>0.7401098711458817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593.11</v>
      </c>
      <c r="G64" s="43">
        <f t="shared" si="10"/>
        <v>-1006.89</v>
      </c>
      <c r="H64" s="35"/>
      <c r="I64" s="53">
        <f t="shared" si="11"/>
        <v>-1906.8899999999999</v>
      </c>
      <c r="J64" s="53">
        <f t="shared" si="13"/>
        <v>23.724400000000003</v>
      </c>
      <c r="K64" s="53">
        <f>F64-1754.79</f>
        <v>-1161.6799999999998</v>
      </c>
      <c r="L64" s="53">
        <f>F64/1754.79*100</f>
        <v>33.79948597837918</v>
      </c>
      <c r="M64" s="35">
        <f>E64-вересень!E64</f>
        <v>0</v>
      </c>
      <c r="N64" s="35">
        <f>F64-вересень!F64</f>
        <v>0.009999999999990905</v>
      </c>
      <c r="O64" s="47">
        <f t="shared" si="12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7122.63</v>
      </c>
      <c r="G65" s="43">
        <f t="shared" si="10"/>
        <v>386.65000000000055</v>
      </c>
      <c r="H65" s="35">
        <f>F65/E65*100</f>
        <v>105.74007048714516</v>
      </c>
      <c r="I65" s="53">
        <f t="shared" si="11"/>
        <v>-4453.37</v>
      </c>
      <c r="J65" s="53">
        <f t="shared" si="13"/>
        <v>61.52928472702143</v>
      </c>
      <c r="K65" s="53">
        <f>F65-2762.1</f>
        <v>4360.530000000001</v>
      </c>
      <c r="L65" s="53">
        <f>F65/2762.1*100</f>
        <v>257.8700988378408</v>
      </c>
      <c r="M65" s="35">
        <f>E65-вересень!E65</f>
        <v>1273.8199999999997</v>
      </c>
      <c r="N65" s="35">
        <f>F65-вересень!F65</f>
        <v>3135</v>
      </c>
      <c r="O65" s="47">
        <f t="shared" si="12"/>
        <v>1861.1800000000003</v>
      </c>
      <c r="P65" s="53">
        <f>N65/M65*100</f>
        <v>246.1101254494356</v>
      </c>
      <c r="Q65" s="53">
        <f>N65-450.01</f>
        <v>2684.99</v>
      </c>
      <c r="R65" s="129">
        <f>N65/450.01</f>
        <v>6.966511855292104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1859.08</v>
      </c>
      <c r="G66" s="43">
        <f t="shared" si="10"/>
        <v>526.1799999999998</v>
      </c>
      <c r="H66" s="35">
        <f>F66/E66*100</f>
        <v>139.4763298071873</v>
      </c>
      <c r="I66" s="53">
        <f t="shared" si="11"/>
        <v>-1140.92</v>
      </c>
      <c r="J66" s="53">
        <f t="shared" si="13"/>
        <v>61.96933333333333</v>
      </c>
      <c r="K66" s="53">
        <f>F66-1134.02</f>
        <v>725.06</v>
      </c>
      <c r="L66" s="53">
        <f>F66/1134.02*100</f>
        <v>163.93714396571488</v>
      </c>
      <c r="M66" s="35">
        <f>E66-вересень!E66</f>
        <v>148.10000000000014</v>
      </c>
      <c r="N66" s="35">
        <f>F66-вересень!F66</f>
        <v>0</v>
      </c>
      <c r="O66" s="47">
        <f t="shared" si="12"/>
        <v>-148.10000000000014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9574.82</v>
      </c>
      <c r="G67" s="55">
        <f t="shared" si="10"/>
        <v>-94.05999999999949</v>
      </c>
      <c r="H67" s="65">
        <f>F67/E67*100</f>
        <v>99.02718825758517</v>
      </c>
      <c r="I67" s="54">
        <f t="shared" si="11"/>
        <v>-7501.18</v>
      </c>
      <c r="J67" s="54">
        <f t="shared" si="13"/>
        <v>56.071796673694074</v>
      </c>
      <c r="K67" s="54">
        <f>K64+K65+K66</f>
        <v>3923.9100000000008</v>
      </c>
      <c r="L67" s="54"/>
      <c r="M67" s="55">
        <f>M64+M65+M66</f>
        <v>1421.9199999999998</v>
      </c>
      <c r="N67" s="55">
        <f>N64+N65+N66</f>
        <v>3135.01</v>
      </c>
      <c r="O67" s="54">
        <f t="shared" si="12"/>
        <v>1713.0900000000004</v>
      </c>
      <c r="P67" s="54">
        <f>N67/M67*100</f>
        <v>220.47724203893333</v>
      </c>
      <c r="Q67" s="54">
        <f>N67-7985.28</f>
        <v>-4850.2699999999995</v>
      </c>
      <c r="R67" s="173">
        <f>N67/7985.28</f>
        <v>0.3925986314819268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F70-1.29</f>
        <v>-0.29000000000000004</v>
      </c>
      <c r="L70" s="53">
        <f>F70/1.29*100</f>
        <v>77.51937984496124</v>
      </c>
      <c r="M70" s="35">
        <f>E70-вересень!E70</f>
        <v>0</v>
      </c>
      <c r="N70" s="35">
        <f>F70-вересень!F70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1.35</v>
      </c>
      <c r="G71" s="55">
        <f>F71-E71</f>
        <v>-47.65</v>
      </c>
      <c r="H71" s="65">
        <f>F71/E71*100</f>
        <v>2.7551020408163267</v>
      </c>
      <c r="I71" s="54">
        <f>F71-D71</f>
        <v>-52.65</v>
      </c>
      <c r="J71" s="54">
        <f>F71/D71*100</f>
        <v>2.5</v>
      </c>
      <c r="K71" s="54">
        <f>K68+K69+K70</f>
        <v>-54.43</v>
      </c>
      <c r="L71" s="54"/>
      <c r="M71" s="55">
        <f>M68+M70+M69</f>
        <v>12</v>
      </c>
      <c r="N71" s="55">
        <f>N68+N70+N69</f>
        <v>0</v>
      </c>
      <c r="O71" s="54">
        <f>N71-M71</f>
        <v>-12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29.66</v>
      </c>
      <c r="G72" s="43">
        <f>F72-E72</f>
        <v>-3.7600000000000016</v>
      </c>
      <c r="H72" s="35">
        <f>F72/E72*100</f>
        <v>88.74925194494314</v>
      </c>
      <c r="I72" s="53">
        <f>F72-D72</f>
        <v>-12.34</v>
      </c>
      <c r="J72" s="53">
        <f>F72/D72*100</f>
        <v>70.61904761904762</v>
      </c>
      <c r="K72" s="53">
        <f>F72-33.03</f>
        <v>-3.370000000000001</v>
      </c>
      <c r="L72" s="53">
        <f>F72/33.03*100</f>
        <v>89.7971541023312</v>
      </c>
      <c r="M72" s="35">
        <f>E72-вересень!E72</f>
        <v>1.2000000000000028</v>
      </c>
      <c r="N72" s="35">
        <f>F72-вересень!F72</f>
        <v>0.4400000000000013</v>
      </c>
      <c r="O72" s="47">
        <f>N72-M72</f>
        <v>-0.7600000000000016</v>
      </c>
      <c r="P72" s="53">
        <f>N72/M72*100</f>
        <v>36.666666666666686</v>
      </c>
      <c r="Q72" s="53">
        <f>N72-0.45</f>
        <v>-0.009999999999998732</v>
      </c>
      <c r="R72" s="129">
        <f>N72/0.45</f>
        <v>0.9777777777777806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9551.28</v>
      </c>
      <c r="G74" s="44">
        <f>F74-E74</f>
        <v>-200.01999999999862</v>
      </c>
      <c r="H74" s="45">
        <f>F74/E74*100</f>
        <v>97.94878631567074</v>
      </c>
      <c r="I74" s="31">
        <f>F74-D74</f>
        <v>-7620.719999999999</v>
      </c>
      <c r="J74" s="31">
        <f>F74/D74*100</f>
        <v>55.62124388539483</v>
      </c>
      <c r="K74" s="31">
        <f>K62+K67+K71+K72</f>
        <v>3548.110000000001</v>
      </c>
      <c r="L74" s="31"/>
      <c r="M74" s="27">
        <f>M62+M72+M67+M71</f>
        <v>1435.12</v>
      </c>
      <c r="N74" s="27">
        <f>N62+N72+N67+N71+N73</f>
        <v>3132.4</v>
      </c>
      <c r="O74" s="31">
        <f>N74-M74</f>
        <v>1697.2800000000002</v>
      </c>
      <c r="P74" s="31">
        <f>N74/M74*100</f>
        <v>218.26746195440103</v>
      </c>
      <c r="Q74" s="31">
        <f>N74-8104.96</f>
        <v>-4972.5599999999995</v>
      </c>
      <c r="R74" s="127">
        <f>N74/8104.96</f>
        <v>0.3864793903979785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544422.0300000001</v>
      </c>
      <c r="G75" s="44">
        <f>F75-E75</f>
        <v>-1426.6099999998696</v>
      </c>
      <c r="H75" s="45">
        <f>F75/E75*100</f>
        <v>99.73864366502775</v>
      </c>
      <c r="I75" s="31">
        <f>F75-D75</f>
        <v>-80705.0399999998</v>
      </c>
      <c r="J75" s="31">
        <f>F75/D75*100</f>
        <v>87.08981839484254</v>
      </c>
      <c r="K75" s="31">
        <f>K55+K74</f>
        <v>126383.818</v>
      </c>
      <c r="L75" s="31">
        <f>F75/(F75-K75)*100</f>
        <v>130.23259940648677</v>
      </c>
      <c r="M75" s="18">
        <f>M55+M74</f>
        <v>52110.560000000005</v>
      </c>
      <c r="N75" s="18">
        <f>N55+N74</f>
        <v>28864.540000000015</v>
      </c>
      <c r="O75" s="31">
        <f>N75-M75</f>
        <v>-23246.01999999999</v>
      </c>
      <c r="P75" s="31">
        <f>N75/M75*100</f>
        <v>55.39096106432173</v>
      </c>
      <c r="Q75" s="31">
        <f>N75-42872.96</f>
        <v>-14008.419999999984</v>
      </c>
      <c r="R75" s="127">
        <f>N75/42872.96</f>
        <v>0.6732574564480739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11</v>
      </c>
      <c r="D77" s="4" t="s">
        <v>118</v>
      </c>
    </row>
    <row r="78" spans="2:17" ht="31.5">
      <c r="B78" s="71" t="s">
        <v>154</v>
      </c>
      <c r="C78" s="34">
        <f>IF(O55&lt;0,ABS(O55/C77),0)</f>
        <v>2267.5727272727263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42292</v>
      </c>
      <c r="D79" s="34">
        <v>3739.5</v>
      </c>
      <c r="G79" s="4" t="s">
        <v>166</v>
      </c>
      <c r="N79" s="236"/>
      <c r="O79" s="236"/>
    </row>
    <row r="80" spans="3:15" ht="15.75">
      <c r="C80" s="111">
        <v>42290</v>
      </c>
      <c r="D80" s="34">
        <v>2189.1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42289</v>
      </c>
      <c r="D81" s="34">
        <v>1284.6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625.08117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3" right="0.23" top="0.36" bottom="0.39" header="0.24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6"/>
      <c r="O79" s="236"/>
    </row>
    <row r="80" spans="3:15" ht="15.75">
      <c r="C80" s="111">
        <v>42276</v>
      </c>
      <c r="D80" s="34">
        <v>6511.1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42275</v>
      </c>
      <c r="D81" s="34">
        <v>4229.6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f>1507100.82/1000</f>
        <v>1507.10082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2" sqref="F5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9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0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2015-10-16T09:22:45Z</cp:lastPrinted>
  <dcterms:created xsi:type="dcterms:W3CDTF">2003-07-28T11:27:56Z</dcterms:created>
  <dcterms:modified xsi:type="dcterms:W3CDTF">2015-10-16T09:32:19Z</dcterms:modified>
  <cp:category/>
  <cp:version/>
  <cp:contentType/>
  <cp:contentStatus/>
</cp:coreProperties>
</file>